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Sommer2026\Statistik_B\Vorlesung\P\"/>
    </mc:Choice>
  </mc:AlternateContent>
  <xr:revisionPtr revIDLastSave="0" documentId="13_ncr:1_{DFAE698F-42B1-4CDB-9FB7-A68F20094AE5}" xr6:coauthVersionLast="47" xr6:coauthVersionMax="47" xr10:uidLastSave="{00000000-0000-0000-0000-000000000000}"/>
  <bookViews>
    <workbookView xWindow="6360" yWindow="2685" windowWidth="16800" windowHeight="10170" activeTab="3" xr2:uid="{A71B94A3-77EE-40A0-9367-48293BE289C5}"/>
  </bookViews>
  <sheets>
    <sheet name="Data" sheetId="2" r:id="rId1"/>
    <sheet name="Scatterplot" sheetId="3" r:id="rId2"/>
    <sheet name="LinR1" sheetId="4" r:id="rId3"/>
    <sheet name="R^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5" l="1"/>
  <c r="S10" i="5"/>
  <c r="S9" i="5"/>
  <c r="R9" i="5"/>
  <c r="Q9" i="5"/>
  <c r="R8" i="5"/>
  <c r="R7" i="5"/>
  <c r="R6" i="5"/>
  <c r="R5" i="5"/>
  <c r="R4" i="5"/>
  <c r="R3" i="5"/>
  <c r="S3" i="5"/>
  <c r="Q8" i="5"/>
  <c r="Q7" i="5"/>
  <c r="Q6" i="5"/>
  <c r="Q5" i="5"/>
  <c r="Q4" i="5"/>
  <c r="Q3" i="5"/>
  <c r="P11" i="5"/>
  <c r="P10" i="5"/>
  <c r="S8" i="5"/>
  <c r="S7" i="5"/>
  <c r="S6" i="5"/>
  <c r="S5" i="5"/>
  <c r="S4" i="5"/>
  <c r="P9" i="5"/>
  <c r="M19" i="5"/>
  <c r="K19" i="5"/>
  <c r="I19" i="5"/>
  <c r="H19" i="5"/>
  <c r="G19" i="5"/>
  <c r="F19" i="5"/>
  <c r="E19" i="5"/>
  <c r="D19" i="5"/>
  <c r="J19" i="5" s="1"/>
  <c r="L19" i="5" s="1"/>
  <c r="M10" i="5"/>
  <c r="L10" i="5"/>
  <c r="I10" i="5"/>
  <c r="H10" i="5"/>
  <c r="G10" i="5"/>
  <c r="K10" i="5"/>
  <c r="C18" i="5"/>
  <c r="C9" i="5"/>
  <c r="F17" i="5"/>
  <c r="E17" i="5"/>
  <c r="F16" i="5"/>
  <c r="F15" i="5"/>
  <c r="F14" i="5"/>
  <c r="F13" i="5"/>
  <c r="F12" i="5"/>
  <c r="F18" i="5" s="1"/>
  <c r="E12" i="5"/>
  <c r="D12" i="5"/>
  <c r="F8" i="5"/>
  <c r="F7" i="5"/>
  <c r="F6" i="5"/>
  <c r="F9" i="5" s="1"/>
  <c r="F5" i="5"/>
  <c r="F4" i="5"/>
  <c r="F3" i="5"/>
  <c r="E3" i="5"/>
  <c r="D3" i="5"/>
  <c r="B13" i="5"/>
  <c r="B14" i="5" s="1"/>
  <c r="B15" i="5" s="1"/>
  <c r="B16" i="5" s="1"/>
  <c r="B17" i="5" s="1"/>
  <c r="D17" i="5" s="1"/>
  <c r="B4" i="5"/>
  <c r="B5" i="5" s="1"/>
  <c r="B6" i="5" s="1"/>
  <c r="B7" i="5" s="1"/>
  <c r="B8" i="5" s="1"/>
  <c r="E8" i="5" s="1"/>
  <c r="D14" i="4"/>
  <c r="D13" i="4"/>
  <c r="C14" i="4"/>
  <c r="D12" i="4"/>
  <c r="C12" i="4"/>
  <c r="C13" i="4"/>
  <c r="A7" i="4"/>
  <c r="A8" i="4" s="1"/>
  <c r="A9" i="4" s="1"/>
  <c r="A10" i="4" s="1"/>
  <c r="A6" i="4"/>
  <c r="F11" i="4"/>
  <c r="E11" i="4"/>
  <c r="D11" i="4"/>
  <c r="C11" i="4"/>
  <c r="F10" i="4"/>
  <c r="F9" i="4"/>
  <c r="F8" i="4"/>
  <c r="F7" i="4"/>
  <c r="F6" i="4"/>
  <c r="F5" i="4"/>
  <c r="E10" i="4"/>
  <c r="E9" i="4"/>
  <c r="E8" i="4"/>
  <c r="E7" i="4"/>
  <c r="E6" i="4"/>
  <c r="E5" i="4"/>
  <c r="V18" i="2"/>
  <c r="U18" i="2"/>
  <c r="V17" i="2"/>
  <c r="U17" i="2"/>
  <c r="L23" i="2"/>
  <c r="K23" i="2"/>
  <c r="G23" i="2"/>
  <c r="F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G2" i="2"/>
  <c r="F2" i="2"/>
  <c r="D2" i="2"/>
  <c r="V9" i="2"/>
  <c r="V8" i="2"/>
  <c r="V7" i="2"/>
  <c r="U9" i="2"/>
  <c r="U8" i="2"/>
  <c r="U7" i="2"/>
  <c r="V5" i="2"/>
  <c r="U5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  <c r="V4" i="2"/>
  <c r="U4" i="2"/>
  <c r="H25" i="2"/>
  <c r="C25" i="2"/>
  <c r="V3" i="2"/>
  <c r="I16" i="2" s="1"/>
  <c r="U3" i="2"/>
  <c r="D12" i="2" s="1"/>
  <c r="E12" i="2" s="1"/>
  <c r="H23" i="2"/>
  <c r="C23" i="2"/>
  <c r="V2" i="2"/>
  <c r="U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E13" i="5" l="1"/>
  <c r="E14" i="5"/>
  <c r="F10" i="5"/>
  <c r="D4" i="5"/>
  <c r="D8" i="5"/>
  <c r="D15" i="5"/>
  <c r="B9" i="5"/>
  <c r="B18" i="5"/>
  <c r="E4" i="5"/>
  <c r="E9" i="5" s="1"/>
  <c r="D5" i="5"/>
  <c r="D16" i="5"/>
  <c r="D14" i="5"/>
  <c r="E7" i="5"/>
  <c r="E5" i="5"/>
  <c r="E16" i="5"/>
  <c r="E6" i="5"/>
  <c r="D7" i="5"/>
  <c r="E15" i="5"/>
  <c r="E18" i="5" s="1"/>
  <c r="D6" i="5"/>
  <c r="D13" i="5"/>
  <c r="J11" i="2"/>
  <c r="J12" i="2"/>
  <c r="J13" i="2"/>
  <c r="J14" i="2"/>
  <c r="J5" i="2"/>
  <c r="J17" i="2"/>
  <c r="J3" i="2"/>
  <c r="J15" i="2"/>
  <c r="D3" i="2"/>
  <c r="E3" i="2" s="1"/>
  <c r="J4" i="2"/>
  <c r="J2" i="2"/>
  <c r="J6" i="2"/>
  <c r="J18" i="2"/>
  <c r="J16" i="2"/>
  <c r="J7" i="2"/>
  <c r="J19" i="2"/>
  <c r="J8" i="2"/>
  <c r="J20" i="2"/>
  <c r="J9" i="2"/>
  <c r="J21" i="2"/>
  <c r="J10" i="2"/>
  <c r="J22" i="2"/>
  <c r="D13" i="2"/>
  <c r="E13" i="2" s="1"/>
  <c r="D15" i="2"/>
  <c r="E15" i="2" s="1"/>
  <c r="I5" i="2"/>
  <c r="I6" i="2"/>
  <c r="I8" i="2"/>
  <c r="I17" i="2"/>
  <c r="I18" i="2"/>
  <c r="D14" i="2"/>
  <c r="E14" i="2" s="1"/>
  <c r="I7" i="2"/>
  <c r="E2" i="2"/>
  <c r="I19" i="2"/>
  <c r="I2" i="2"/>
  <c r="I21" i="2"/>
  <c r="I20" i="2"/>
  <c r="D6" i="2"/>
  <c r="E6" i="2" s="1"/>
  <c r="D18" i="2"/>
  <c r="E18" i="2" s="1"/>
  <c r="I10" i="2"/>
  <c r="I22" i="2"/>
  <c r="D7" i="2"/>
  <c r="E7" i="2" s="1"/>
  <c r="D19" i="2"/>
  <c r="E19" i="2" s="1"/>
  <c r="I11" i="2"/>
  <c r="D9" i="2"/>
  <c r="E9" i="2" s="1"/>
  <c r="D21" i="2"/>
  <c r="E21" i="2" s="1"/>
  <c r="I13" i="2"/>
  <c r="D4" i="2"/>
  <c r="D17" i="2"/>
  <c r="E17" i="2" s="1"/>
  <c r="D10" i="2"/>
  <c r="E10" i="2" s="1"/>
  <c r="D22" i="2"/>
  <c r="E22" i="2" s="1"/>
  <c r="I14" i="2"/>
  <c r="D16" i="2"/>
  <c r="E16" i="2" s="1"/>
  <c r="D5" i="2"/>
  <c r="E5" i="2" s="1"/>
  <c r="I9" i="2"/>
  <c r="D8" i="2"/>
  <c r="E8" i="2" s="1"/>
  <c r="D20" i="2"/>
  <c r="E20" i="2" s="1"/>
  <c r="D11" i="2"/>
  <c r="E11" i="2" s="1"/>
  <c r="I3" i="2"/>
  <c r="I15" i="2"/>
  <c r="I12" i="2"/>
  <c r="I4" i="2"/>
  <c r="C24" i="2"/>
  <c r="H24" i="2"/>
  <c r="M23" i="2"/>
  <c r="M24" i="2" s="1"/>
  <c r="M25" i="2" s="1"/>
  <c r="N23" i="2"/>
  <c r="N24" i="2" s="1"/>
  <c r="N25" i="2" s="1"/>
  <c r="H26" i="2"/>
  <c r="C26" i="2"/>
  <c r="D18" i="5" l="1"/>
  <c r="D9" i="5"/>
  <c r="D10" i="5" s="1"/>
  <c r="E10" i="5"/>
  <c r="J23" i="2"/>
  <c r="V10" i="2" s="1"/>
  <c r="D23" i="2"/>
  <c r="U11" i="2" s="1"/>
  <c r="E4" i="2"/>
  <c r="E23" i="2" s="1"/>
  <c r="U10" i="2" s="1"/>
  <c r="I23" i="2"/>
  <c r="V11" i="2" s="1"/>
  <c r="J10" i="5" l="1"/>
  <c r="V12" i="2"/>
  <c r="V14" i="2" s="1"/>
  <c r="V16" i="2" s="1"/>
  <c r="V13" i="2"/>
  <c r="V15" i="2" s="1"/>
  <c r="U12" i="2"/>
  <c r="U14" i="2" s="1"/>
  <c r="U16" i="2" s="1"/>
  <c r="U13" i="2"/>
  <c r="U15" i="2" s="1"/>
</calcChain>
</file>

<file path=xl/sharedStrings.xml><?xml version="1.0" encoding="utf-8"?>
<sst xmlns="http://schemas.openxmlformats.org/spreadsheetml/2006/main" count="76" uniqueCount="49">
  <si>
    <t>Kurtosis</t>
  </si>
  <si>
    <t>Median</t>
  </si>
  <si>
    <t>1/E</t>
  </si>
  <si>
    <t>1/B</t>
  </si>
  <si>
    <t>E-Car</t>
  </si>
  <si>
    <t>sum</t>
  </si>
  <si>
    <t>product</t>
  </si>
  <si>
    <t>A-mean</t>
  </si>
  <si>
    <t>G-mean</t>
  </si>
  <si>
    <t>H-mean</t>
  </si>
  <si>
    <t>Range</t>
  </si>
  <si>
    <t>B-Hospitality Industry</t>
  </si>
  <si>
    <t>Max</t>
  </si>
  <si>
    <t>Min</t>
  </si>
  <si>
    <t>Variance-b</t>
  </si>
  <si>
    <t>Variance-ub</t>
  </si>
  <si>
    <t>(x-xbar)^2</t>
  </si>
  <si>
    <t>|x-xbar|</t>
  </si>
  <si>
    <t>MAD</t>
  </si>
  <si>
    <t>Std-unc</t>
  </si>
  <si>
    <t>Std-c</t>
  </si>
  <si>
    <t>Coefficiant of Variation</t>
  </si>
  <si>
    <t>Coefficiant of Variation c</t>
  </si>
  <si>
    <t>(x-xbar)^3</t>
  </si>
  <si>
    <t>(x-xbar)^4</t>
  </si>
  <si>
    <t>Skewness</t>
  </si>
  <si>
    <t>Number</t>
  </si>
  <si>
    <t>Order</t>
  </si>
  <si>
    <t>Volume [€]</t>
  </si>
  <si>
    <t>Visits</t>
  </si>
  <si>
    <t>Sales volume [€]</t>
  </si>
  <si>
    <t>year</t>
  </si>
  <si>
    <t>x</t>
  </si>
  <si>
    <t>y</t>
  </si>
  <si>
    <t>xy</t>
  </si>
  <si>
    <t>x^2</t>
  </si>
  <si>
    <t>b</t>
  </si>
  <si>
    <t>a</t>
  </si>
  <si>
    <t>y^2</t>
  </si>
  <si>
    <t>N*sum</t>
  </si>
  <si>
    <t>sumx*sumy</t>
  </si>
  <si>
    <t>sumx^2</t>
  </si>
  <si>
    <t>sumy^2</t>
  </si>
  <si>
    <t>R</t>
  </si>
  <si>
    <t>R^2</t>
  </si>
  <si>
    <t>N</t>
  </si>
  <si>
    <t>yhat</t>
  </si>
  <si>
    <t>(yhat-ybar)^2</t>
  </si>
  <si>
    <t>(y-ybar)^2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</si>
</sst>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Scatterplot!$D$2</c:f>
              <c:strCache>
                <c:ptCount val="1"/>
                <c:pt idx="0">
                  <c:v>Volume [€]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Scatterplot!$C$3:$C$24</c:f>
              <c:numCache>
                <c:formatCode>General</c:formatCode>
                <c:ptCount val="2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</c:numCache>
            </c:numRef>
          </c:xVal>
          <c:yVal>
            <c:numRef>
              <c:f>Scatterplot!$D$3:$D$24</c:f>
              <c:numCache>
                <c:formatCode>General</c:formatCode>
                <c:ptCount val="22"/>
                <c:pt idx="0">
                  <c:v>36</c:v>
                </c:pt>
                <c:pt idx="1">
                  <c:v>44</c:v>
                </c:pt>
                <c:pt idx="2">
                  <c:v>30</c:v>
                </c:pt>
                <c:pt idx="3">
                  <c:v>67</c:v>
                </c:pt>
                <c:pt idx="4">
                  <c:v>21</c:v>
                </c:pt>
                <c:pt idx="5">
                  <c:v>8</c:v>
                </c:pt>
                <c:pt idx="6">
                  <c:v>62</c:v>
                </c:pt>
                <c:pt idx="7">
                  <c:v>35</c:v>
                </c:pt>
                <c:pt idx="8">
                  <c:v>33</c:v>
                </c:pt>
                <c:pt idx="9">
                  <c:v>37</c:v>
                </c:pt>
                <c:pt idx="10">
                  <c:v>22</c:v>
                </c:pt>
                <c:pt idx="11">
                  <c:v>72</c:v>
                </c:pt>
                <c:pt idx="12">
                  <c:v>65</c:v>
                </c:pt>
                <c:pt idx="13">
                  <c:v>45</c:v>
                </c:pt>
                <c:pt idx="14">
                  <c:v>23</c:v>
                </c:pt>
                <c:pt idx="15">
                  <c:v>17</c:v>
                </c:pt>
                <c:pt idx="16">
                  <c:v>44</c:v>
                </c:pt>
                <c:pt idx="17">
                  <c:v>56</c:v>
                </c:pt>
                <c:pt idx="18">
                  <c:v>32</c:v>
                </c:pt>
                <c:pt idx="19">
                  <c:v>37</c:v>
                </c:pt>
                <c:pt idx="20">
                  <c:v>22</c:v>
                </c:pt>
                <c:pt idx="21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D3-4DC3-916A-C9EE3CA3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921647"/>
        <c:axId val="1960922895"/>
      </c:scatterChart>
      <c:valAx>
        <c:axId val="1960921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Orders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0922895"/>
        <c:crosses val="autoZero"/>
        <c:crossBetween val="midCat"/>
      </c:valAx>
      <c:valAx>
        <c:axId val="196092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[Euro]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0921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</xdr:colOff>
      <xdr:row>2</xdr:row>
      <xdr:rowOff>14287</xdr:rowOff>
    </xdr:from>
    <xdr:to>
      <xdr:col>11</xdr:col>
      <xdr:colOff>33337</xdr:colOff>
      <xdr:row>16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F473BA5-4C3B-488B-8930-BE6637C9E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B935-4DF4-4848-8633-09D53FB65C88}">
  <dimension ref="A1:V26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T18" sqref="T18"/>
    </sheetView>
  </sheetViews>
  <sheetFormatPr baseColWidth="10" defaultRowHeight="15" x14ac:dyDescent="0.25"/>
  <cols>
    <col min="3" max="3" width="12" bestFit="1" customWidth="1"/>
    <col min="4" max="7" width="12" customWidth="1"/>
    <col min="9" max="9" width="12" bestFit="1" customWidth="1"/>
    <col min="10" max="12" width="12" customWidth="1"/>
    <col min="21" max="22" width="12" bestFit="1" customWidth="1"/>
  </cols>
  <sheetData>
    <row r="1" spans="1:22" x14ac:dyDescent="0.25">
      <c r="C1" t="s">
        <v>4</v>
      </c>
      <c r="D1" t="s">
        <v>16</v>
      </c>
      <c r="E1" t="s">
        <v>17</v>
      </c>
      <c r="F1" t="s">
        <v>23</v>
      </c>
      <c r="G1" t="s">
        <v>24</v>
      </c>
      <c r="H1" t="s">
        <v>11</v>
      </c>
      <c r="I1" t="s">
        <v>16</v>
      </c>
      <c r="J1" t="s">
        <v>17</v>
      </c>
      <c r="K1" t="s">
        <v>23</v>
      </c>
      <c r="L1" t="s">
        <v>24</v>
      </c>
      <c r="M1" t="s">
        <v>2</v>
      </c>
      <c r="N1" t="s">
        <v>3</v>
      </c>
      <c r="U1" t="s">
        <v>4</v>
      </c>
      <c r="V1" t="s">
        <v>11</v>
      </c>
    </row>
    <row r="2" spans="1:22" x14ac:dyDescent="0.25">
      <c r="A2">
        <v>1</v>
      </c>
      <c r="B2" s="1">
        <v>2004</v>
      </c>
      <c r="C2">
        <v>61</v>
      </c>
      <c r="D2">
        <f>(C2-$U$3)^2</f>
        <v>9933055273.6530628</v>
      </c>
      <c r="E2">
        <f>SQRT(D2)</f>
        <v>99664.71428571429</v>
      </c>
      <c r="F2">
        <f>(C2-$U$3)^3</f>
        <v>-989975115832840.13</v>
      </c>
      <c r="G2">
        <f>(C2-$U$3)^4</f>
        <v>9.866558706944693E+19</v>
      </c>
      <c r="H2">
        <v>726813</v>
      </c>
      <c r="I2">
        <f>(H2-$V$3)^2</f>
        <v>39480876280.38324</v>
      </c>
      <c r="J2">
        <f>ABS(H2-$V$3)</f>
        <v>198697.95238095243</v>
      </c>
      <c r="K2">
        <f>(H2-$U$3)^3</f>
        <v>2.4659484096833437E+17</v>
      </c>
      <c r="L2">
        <f>(H2-$U$3)^4</f>
        <v>1.5463648949397872E+23</v>
      </c>
      <c r="M2">
        <f>1/C2</f>
        <v>1.6393442622950821E-2</v>
      </c>
      <c r="N2">
        <f>1/H2</f>
        <v>1.3758697216477966E-6</v>
      </c>
      <c r="T2" t="s">
        <v>1</v>
      </c>
      <c r="U2">
        <f>MEDIAN(C2:C22)</f>
        <v>8522</v>
      </c>
      <c r="V2">
        <f>MEDIAN(H2:H22)</f>
        <v>939222</v>
      </c>
    </row>
    <row r="3" spans="1:22" x14ac:dyDescent="0.25">
      <c r="A3">
        <f>A2+1</f>
        <v>2</v>
      </c>
      <c r="B3" s="1">
        <v>2005</v>
      </c>
      <c r="C3">
        <v>47</v>
      </c>
      <c r="D3">
        <f t="shared" ref="D3:D22" si="0">(C3-$U$3)^2</f>
        <v>9935846081.6530628</v>
      </c>
      <c r="E3">
        <f t="shared" ref="E3:E22" si="1">SQRT(D3)</f>
        <v>99678.71428571429</v>
      </c>
      <c r="F3">
        <f t="shared" ref="F3:F22" si="2">(C3-$U$3)^3</f>
        <v>-990392362759929.5</v>
      </c>
      <c r="G3">
        <f t="shared" ref="G3:G22" si="3">(C3-$U$3)^4</f>
        <v>9.8721037358300529E+19</v>
      </c>
      <c r="H3">
        <v>731751</v>
      </c>
      <c r="I3">
        <f t="shared" ref="I3:I22" si="4">(H3-$V$3)^2</f>
        <v>37542919146.668953</v>
      </c>
      <c r="J3">
        <f t="shared" ref="J3:J22" si="5">ABS(H3-$V$3)</f>
        <v>193759.95238095243</v>
      </c>
      <c r="K3">
        <f t="shared" ref="K3:K22" si="6">(H3-$U$3)^3</f>
        <v>2.5246626837568518E+17</v>
      </c>
      <c r="L3">
        <f t="shared" ref="L3:L22" si="7">(H3-$U$3)^4</f>
        <v>1.5956506540336193E+23</v>
      </c>
      <c r="M3">
        <f t="shared" ref="M3:M22" si="8">1/C3</f>
        <v>2.1276595744680851E-2</v>
      </c>
      <c r="N3">
        <f t="shared" ref="N3:N22" si="9">1/H3</f>
        <v>1.3665850815372988E-6</v>
      </c>
      <c r="T3" t="s">
        <v>7</v>
      </c>
      <c r="U3">
        <f>AVERAGE((C2:C22))</f>
        <v>99725.71428571429</v>
      </c>
      <c r="V3">
        <f>AVERAGE((H2:H22))</f>
        <v>925510.95238095243</v>
      </c>
    </row>
    <row r="4" spans="1:22" x14ac:dyDescent="0.25">
      <c r="A4">
        <f t="shared" ref="A4:A22" si="10">A3+1</f>
        <v>3</v>
      </c>
      <c r="B4" s="1">
        <v>2006</v>
      </c>
      <c r="C4">
        <v>19</v>
      </c>
      <c r="D4">
        <f t="shared" si="0"/>
        <v>9941428873.6530628</v>
      </c>
      <c r="E4">
        <f t="shared" si="1"/>
        <v>99706.71428571429</v>
      </c>
      <c r="F4">
        <f t="shared" si="2"/>
        <v>-991227208297076.38</v>
      </c>
      <c r="G4">
        <f t="shared" si="3"/>
        <v>9.8832008049902813E+19</v>
      </c>
      <c r="H4">
        <v>741402</v>
      </c>
      <c r="I4">
        <f t="shared" si="4"/>
        <v>33896106346.81181</v>
      </c>
      <c r="J4">
        <f t="shared" si="5"/>
        <v>184108.95238095243</v>
      </c>
      <c r="K4">
        <f t="shared" si="6"/>
        <v>2.642092196688543E+17</v>
      </c>
      <c r="L4">
        <f t="shared" si="7"/>
        <v>1.6953679072858021E+23</v>
      </c>
      <c r="M4">
        <f t="shared" si="8"/>
        <v>5.2631578947368418E-2</v>
      </c>
      <c r="N4">
        <f t="shared" si="9"/>
        <v>1.348795929873402E-6</v>
      </c>
      <c r="T4" t="s">
        <v>8</v>
      </c>
      <c r="U4">
        <f>GEOMEAN(C2:C22)</f>
        <v>4333.4093592955487</v>
      </c>
      <c r="V4">
        <f>GEOMEAN(H2:H22)</f>
        <v>916522.1482052193</v>
      </c>
    </row>
    <row r="5" spans="1:22" x14ac:dyDescent="0.25">
      <c r="A5">
        <f t="shared" si="10"/>
        <v>4</v>
      </c>
      <c r="B5" s="1">
        <v>2007</v>
      </c>
      <c r="C5">
        <v>8</v>
      </c>
      <c r="D5">
        <f t="shared" si="0"/>
        <v>9943622542.3673477</v>
      </c>
      <c r="E5">
        <f t="shared" si="1"/>
        <v>99717.71428571429</v>
      </c>
      <c r="F5">
        <f t="shared" si="2"/>
        <v>-991555311644775.13</v>
      </c>
      <c r="G5">
        <f t="shared" si="3"/>
        <v>9.8875629265076077E+19</v>
      </c>
      <c r="H5">
        <v>767991</v>
      </c>
      <c r="I5">
        <f t="shared" si="4"/>
        <v>24812535398.097519</v>
      </c>
      <c r="J5">
        <f t="shared" si="5"/>
        <v>157519.95238095243</v>
      </c>
      <c r="K5">
        <f t="shared" si="6"/>
        <v>2.9843290361091059E+17</v>
      </c>
      <c r="L5">
        <f t="shared" si="7"/>
        <v>1.9943234959808907E+23</v>
      </c>
      <c r="M5">
        <f t="shared" si="8"/>
        <v>0.125</v>
      </c>
      <c r="N5">
        <f t="shared" si="9"/>
        <v>1.3020985923012119E-6</v>
      </c>
      <c r="T5" t="s">
        <v>9</v>
      </c>
      <c r="U5">
        <f>HARMEAN(C2:C22)</f>
        <v>83.183995593743617</v>
      </c>
      <c r="V5">
        <f>HARMEAN(H2:H22)</f>
        <v>907398.04517686681</v>
      </c>
    </row>
    <row r="6" spans="1:22" x14ac:dyDescent="0.25">
      <c r="A6">
        <f t="shared" si="10"/>
        <v>5</v>
      </c>
      <c r="B6" s="1">
        <v>2008</v>
      </c>
      <c r="C6">
        <v>36</v>
      </c>
      <c r="D6">
        <f t="shared" si="0"/>
        <v>9938039134.3673477</v>
      </c>
      <c r="E6">
        <f t="shared" si="1"/>
        <v>99689.71428571429</v>
      </c>
      <c r="F6">
        <f t="shared" si="2"/>
        <v>-990720281865328.25</v>
      </c>
      <c r="G6">
        <f t="shared" si="3"/>
        <v>9.876462183621691E+19</v>
      </c>
      <c r="H6">
        <v>794952</v>
      </c>
      <c r="I6">
        <f t="shared" si="4"/>
        <v>17045640046.811804</v>
      </c>
      <c r="J6">
        <f t="shared" si="5"/>
        <v>130558.95238095243</v>
      </c>
      <c r="K6">
        <f t="shared" si="6"/>
        <v>3.3603038674590861E+17</v>
      </c>
      <c r="L6">
        <f t="shared" si="7"/>
        <v>2.3361715766449299E+23</v>
      </c>
      <c r="M6">
        <f t="shared" si="8"/>
        <v>2.7777777777777776E-2</v>
      </c>
      <c r="N6">
        <f t="shared" si="9"/>
        <v>1.2579375861687245E-6</v>
      </c>
    </row>
    <row r="7" spans="1:22" x14ac:dyDescent="0.25">
      <c r="A7">
        <f t="shared" si="10"/>
        <v>6</v>
      </c>
      <c r="B7" s="1">
        <v>2009</v>
      </c>
      <c r="C7">
        <v>162</v>
      </c>
      <c r="D7">
        <f t="shared" si="0"/>
        <v>9912933202.3673477</v>
      </c>
      <c r="E7">
        <f t="shared" si="1"/>
        <v>99563.71428571429</v>
      </c>
      <c r="F7">
        <f t="shared" si="2"/>
        <v>-986968449093873.38</v>
      </c>
      <c r="G7">
        <f t="shared" si="3"/>
        <v>9.8266244674596962E+19</v>
      </c>
      <c r="H7">
        <v>815839</v>
      </c>
      <c r="I7">
        <f t="shared" si="4"/>
        <v>12027937139.049896</v>
      </c>
      <c r="J7">
        <f t="shared" si="5"/>
        <v>109671.95238095243</v>
      </c>
      <c r="K7">
        <f t="shared" si="6"/>
        <v>3.6723595337156915E+17</v>
      </c>
      <c r="L7">
        <f t="shared" si="7"/>
        <v>2.6298254520133257E+23</v>
      </c>
      <c r="M7">
        <f t="shared" si="8"/>
        <v>6.1728395061728392E-3</v>
      </c>
      <c r="N7">
        <f t="shared" si="9"/>
        <v>1.2257320378162848E-6</v>
      </c>
      <c r="T7" t="s">
        <v>10</v>
      </c>
      <c r="U7">
        <f>MAX(C2:C22)-MIN(C2:C22)</f>
        <v>524211</v>
      </c>
      <c r="V7">
        <f>MAX(H2:H22)-MIN(H2:H22)</f>
        <v>391487</v>
      </c>
    </row>
    <row r="8" spans="1:22" x14ac:dyDescent="0.25">
      <c r="A8">
        <f t="shared" si="10"/>
        <v>7</v>
      </c>
      <c r="B8" s="1">
        <v>2010</v>
      </c>
      <c r="C8">
        <v>541</v>
      </c>
      <c r="D8">
        <f t="shared" si="0"/>
        <v>9837607547.938776</v>
      </c>
      <c r="E8">
        <f t="shared" si="1"/>
        <v>99184.71428571429</v>
      </c>
      <c r="F8">
        <f t="shared" si="2"/>
        <v>-975740293897293.88</v>
      </c>
      <c r="G8">
        <f t="shared" si="3"/>
        <v>9.6778522267261977E+19</v>
      </c>
      <c r="H8">
        <v>833050</v>
      </c>
      <c r="I8">
        <f t="shared" si="4"/>
        <v>8549027715.1927519</v>
      </c>
      <c r="J8">
        <f t="shared" si="5"/>
        <v>92460.952380952425</v>
      </c>
      <c r="K8">
        <f t="shared" si="6"/>
        <v>3.9435577372506349E+17</v>
      </c>
      <c r="L8">
        <f t="shared" si="7"/>
        <v>2.8919066608423664E+23</v>
      </c>
      <c r="M8">
        <f t="shared" si="8"/>
        <v>1.8484288354898336E-3</v>
      </c>
      <c r="N8">
        <f t="shared" si="9"/>
        <v>1.2004081387671809E-6</v>
      </c>
      <c r="T8" t="s">
        <v>12</v>
      </c>
      <c r="U8">
        <f>MAX(C2:C22)</f>
        <v>524219</v>
      </c>
      <c r="V8">
        <f>MAX(H2:H22)</f>
        <v>1118300</v>
      </c>
    </row>
    <row r="9" spans="1:22" x14ac:dyDescent="0.25">
      <c r="A9">
        <f t="shared" si="10"/>
        <v>8</v>
      </c>
      <c r="B9" s="1">
        <v>2011</v>
      </c>
      <c r="C9">
        <v>2154</v>
      </c>
      <c r="D9">
        <f t="shared" si="0"/>
        <v>9520239428.6530628</v>
      </c>
      <c r="E9">
        <f t="shared" si="1"/>
        <v>97571.71428571429</v>
      </c>
      <c r="F9">
        <f t="shared" si="2"/>
        <v>-928906081464128.5</v>
      </c>
      <c r="G9">
        <f t="shared" si="3"/>
        <v>9.0634958778880393E+19</v>
      </c>
      <c r="H9">
        <v>854775</v>
      </c>
      <c r="I9">
        <f t="shared" si="4"/>
        <v>5003574959.2403688</v>
      </c>
      <c r="J9">
        <f t="shared" si="5"/>
        <v>70735.952380952425</v>
      </c>
      <c r="K9">
        <f t="shared" si="6"/>
        <v>4.3045316276984666E+17</v>
      </c>
      <c r="L9">
        <f t="shared" si="7"/>
        <v>3.2501335308282786E+23</v>
      </c>
      <c r="M9">
        <f t="shared" si="8"/>
        <v>4.6425255338904364E-4</v>
      </c>
      <c r="N9">
        <f t="shared" si="9"/>
        <v>1.1698985113041443E-6</v>
      </c>
      <c r="T9" t="s">
        <v>13</v>
      </c>
      <c r="U9">
        <f>MIN(C2:C22)</f>
        <v>8</v>
      </c>
      <c r="V9">
        <f>MIN(H2:H22)</f>
        <v>726813</v>
      </c>
    </row>
    <row r="10" spans="1:22" x14ac:dyDescent="0.25">
      <c r="A10">
        <f t="shared" si="10"/>
        <v>9</v>
      </c>
      <c r="B10" s="1">
        <v>2012</v>
      </c>
      <c r="C10">
        <v>2956</v>
      </c>
      <c r="D10">
        <f t="shared" si="0"/>
        <v>9364377602.938776</v>
      </c>
      <c r="E10">
        <f t="shared" si="1"/>
        <v>96769.71428571429</v>
      </c>
      <c r="F10">
        <f t="shared" si="2"/>
        <v>-906188145099927.38</v>
      </c>
      <c r="G10">
        <f t="shared" si="3"/>
        <v>8.7691567890421383E+19</v>
      </c>
      <c r="H10">
        <v>888896</v>
      </c>
      <c r="I10">
        <f t="shared" si="4"/>
        <v>1340654737.8594136</v>
      </c>
      <c r="J10">
        <f t="shared" si="5"/>
        <v>36614.952380952425</v>
      </c>
      <c r="K10">
        <f t="shared" si="6"/>
        <v>4.9148715694079667E+17</v>
      </c>
      <c r="L10">
        <f t="shared" si="7"/>
        <v>3.8786706006787051E+23</v>
      </c>
      <c r="M10">
        <f t="shared" si="8"/>
        <v>3.3829499323410016E-4</v>
      </c>
      <c r="N10">
        <f t="shared" si="9"/>
        <v>1.1249910000719995E-6</v>
      </c>
      <c r="T10" t="s">
        <v>18</v>
      </c>
      <c r="U10">
        <f>E23/A22</f>
        <v>135893.56462585035</v>
      </c>
      <c r="V10">
        <f>J23/A22</f>
        <v>113514.43083900226</v>
      </c>
    </row>
    <row r="11" spans="1:22" x14ac:dyDescent="0.25">
      <c r="A11">
        <f t="shared" si="10"/>
        <v>10</v>
      </c>
      <c r="B11" s="1">
        <v>2013</v>
      </c>
      <c r="C11">
        <v>6051</v>
      </c>
      <c r="D11">
        <f t="shared" si="0"/>
        <v>8774952096.5102043</v>
      </c>
      <c r="E11">
        <f t="shared" si="1"/>
        <v>93674.71428571429</v>
      </c>
      <c r="F11">
        <f t="shared" si="2"/>
        <v>-821991130511423</v>
      </c>
      <c r="G11">
        <f t="shared" si="3"/>
        <v>7.6999784296048837E+19</v>
      </c>
      <c r="H11">
        <v>907739</v>
      </c>
      <c r="I11">
        <f t="shared" si="4"/>
        <v>315842291.43084055</v>
      </c>
      <c r="J11">
        <f t="shared" si="5"/>
        <v>17771.952380952425</v>
      </c>
      <c r="K11">
        <f t="shared" si="6"/>
        <v>5.2754013372157734E+17</v>
      </c>
      <c r="L11">
        <f t="shared" si="7"/>
        <v>4.2625943679452535E+23</v>
      </c>
      <c r="M11">
        <f t="shared" si="8"/>
        <v>1.6526194017517766E-4</v>
      </c>
      <c r="N11">
        <f t="shared" si="9"/>
        <v>1.1016382462359774E-6</v>
      </c>
      <c r="T11" t="s">
        <v>14</v>
      </c>
      <c r="U11">
        <f>D23/A22</f>
        <v>28713866602.394554</v>
      </c>
      <c r="V11">
        <f>I23/A22</f>
        <v>16251847986.045353</v>
      </c>
    </row>
    <row r="12" spans="1:22" x14ac:dyDescent="0.25">
      <c r="A12">
        <f t="shared" si="10"/>
        <v>11</v>
      </c>
      <c r="B12" s="1">
        <v>2014</v>
      </c>
      <c r="C12">
        <v>8522</v>
      </c>
      <c r="D12">
        <f t="shared" si="0"/>
        <v>8318117499.5102053</v>
      </c>
      <c r="E12">
        <f t="shared" si="1"/>
        <v>91203.71428571429</v>
      </c>
      <c r="F12">
        <f t="shared" si="2"/>
        <v>-758643211820328.88</v>
      </c>
      <c r="G12">
        <f t="shared" si="3"/>
        <v>6.919107873565791E+19</v>
      </c>
      <c r="H12">
        <v>939222</v>
      </c>
      <c r="I12">
        <f t="shared" si="4"/>
        <v>187992826.81179017</v>
      </c>
      <c r="J12">
        <f t="shared" si="5"/>
        <v>13711.047619047575</v>
      </c>
      <c r="K12">
        <f t="shared" si="6"/>
        <v>5.916383768669591E+17</v>
      </c>
      <c r="L12">
        <f t="shared" si="7"/>
        <v>4.9667821986584093E+23</v>
      </c>
      <c r="M12">
        <f t="shared" si="8"/>
        <v>1.1734334663224596E-4</v>
      </c>
      <c r="N12">
        <f t="shared" si="9"/>
        <v>1.0647110054917794E-6</v>
      </c>
      <c r="T12" t="s">
        <v>15</v>
      </c>
      <c r="U12">
        <f>U11*A22/(A22-1)</f>
        <v>30149559932.514282</v>
      </c>
      <c r="V12">
        <f>V11*B22/(B22-1)</f>
        <v>16259881524.347897</v>
      </c>
    </row>
    <row r="13" spans="1:22" x14ac:dyDescent="0.25">
      <c r="A13">
        <f t="shared" si="10"/>
        <v>12</v>
      </c>
      <c r="B13" s="1">
        <v>2015</v>
      </c>
      <c r="C13">
        <v>12363</v>
      </c>
      <c r="D13">
        <f t="shared" si="0"/>
        <v>7632243847.3673477</v>
      </c>
      <c r="E13">
        <f t="shared" si="1"/>
        <v>87362.71428571429</v>
      </c>
      <c r="F13">
        <f t="shared" si="2"/>
        <v>-666773538596454.38</v>
      </c>
      <c r="G13">
        <f t="shared" si="3"/>
        <v>5.825114614567673E+19</v>
      </c>
      <c r="H13">
        <v>974000</v>
      </c>
      <c r="I13">
        <f t="shared" si="4"/>
        <v>2351187739.0022631</v>
      </c>
      <c r="J13">
        <f t="shared" si="5"/>
        <v>48489.047619047575</v>
      </c>
      <c r="K13">
        <f t="shared" si="6"/>
        <v>6.6825638210350874E+17</v>
      </c>
      <c r="L13">
        <f t="shared" si="7"/>
        <v>5.8423937113755789E+23</v>
      </c>
      <c r="M13">
        <f t="shared" si="8"/>
        <v>8.0886516217746498E-5</v>
      </c>
      <c r="N13">
        <f t="shared" si="9"/>
        <v>1.0266940451745381E-6</v>
      </c>
      <c r="T13" t="s">
        <v>19</v>
      </c>
      <c r="U13">
        <f>SQRT(U11)</f>
        <v>169451.66450169368</v>
      </c>
      <c r="V13">
        <f>SQRT(V11)</f>
        <v>127482.73603137545</v>
      </c>
    </row>
    <row r="14" spans="1:22" x14ac:dyDescent="0.25">
      <c r="A14">
        <f t="shared" si="10"/>
        <v>13</v>
      </c>
      <c r="B14" s="1">
        <v>2016</v>
      </c>
      <c r="C14">
        <v>11410</v>
      </c>
      <c r="D14">
        <f t="shared" si="0"/>
        <v>7799665389.7959194</v>
      </c>
      <c r="E14">
        <f t="shared" si="1"/>
        <v>88315.71428571429</v>
      </c>
      <c r="F14">
        <f t="shared" si="2"/>
        <v>-688833020089390.75</v>
      </c>
      <c r="G14">
        <f t="shared" si="3"/>
        <v>6.0834780192780329E+19</v>
      </c>
      <c r="H14">
        <v>1006000</v>
      </c>
      <c r="I14">
        <f t="shared" si="4"/>
        <v>6478486786.6213083</v>
      </c>
      <c r="J14">
        <f t="shared" si="5"/>
        <v>80489.047619047575</v>
      </c>
      <c r="K14">
        <f t="shared" si="6"/>
        <v>7.4435305126870042E+17</v>
      </c>
      <c r="L14">
        <f t="shared" si="7"/>
        <v>6.7458802985779064E+23</v>
      </c>
      <c r="M14">
        <f t="shared" si="8"/>
        <v>8.7642418930762488E-5</v>
      </c>
      <c r="N14">
        <f t="shared" si="9"/>
        <v>9.9403578528827033E-7</v>
      </c>
      <c r="T14" t="s">
        <v>20</v>
      </c>
      <c r="U14">
        <f>SQRT(U12)</f>
        <v>173636.28633587589</v>
      </c>
      <c r="V14">
        <f>SQRT(V12)</f>
        <v>127514.24047669303</v>
      </c>
    </row>
    <row r="15" spans="1:22" x14ac:dyDescent="0.25">
      <c r="A15">
        <f t="shared" si="10"/>
        <v>14</v>
      </c>
      <c r="B15" s="1">
        <v>2017</v>
      </c>
      <c r="C15">
        <v>25056</v>
      </c>
      <c r="D15">
        <f t="shared" si="0"/>
        <v>5575566231.5102043</v>
      </c>
      <c r="E15">
        <f t="shared" si="1"/>
        <v>74669.71428571429</v>
      </c>
      <c r="F15">
        <f t="shared" si="2"/>
        <v>-416325937487943.69</v>
      </c>
      <c r="G15">
        <f t="shared" si="3"/>
        <v>3.1086938801956901E+19</v>
      </c>
      <c r="H15">
        <v>1043000</v>
      </c>
      <c r="I15">
        <f t="shared" si="4"/>
        <v>13803676310.430828</v>
      </c>
      <c r="J15">
        <f t="shared" si="5"/>
        <v>117489.04761904757</v>
      </c>
      <c r="K15">
        <f t="shared" si="6"/>
        <v>8.392937447452393E+17</v>
      </c>
      <c r="L15">
        <f t="shared" si="7"/>
        <v>7.916842075790336E+23</v>
      </c>
      <c r="M15">
        <f t="shared" si="8"/>
        <v>3.9910600255427844E-5</v>
      </c>
      <c r="N15">
        <f t="shared" si="9"/>
        <v>9.5877277085330771E-7</v>
      </c>
      <c r="T15" t="s">
        <v>21</v>
      </c>
      <c r="U15">
        <f>U13/U3</f>
        <v>1.6991772454616314</v>
      </c>
      <c r="V15">
        <f>V13/V3</f>
        <v>0.1377430874301549</v>
      </c>
    </row>
    <row r="16" spans="1:22" x14ac:dyDescent="0.25">
      <c r="A16">
        <f t="shared" si="10"/>
        <v>15</v>
      </c>
      <c r="B16" s="1">
        <v>2018</v>
      </c>
      <c r="C16">
        <v>36062</v>
      </c>
      <c r="D16">
        <f t="shared" si="0"/>
        <v>4053068516.6530619</v>
      </c>
      <c r="E16">
        <f t="shared" si="1"/>
        <v>63663.71428571429</v>
      </c>
      <c r="F16">
        <f t="shared" si="2"/>
        <v>-258033396024624.38</v>
      </c>
      <c r="G16">
        <f t="shared" si="3"/>
        <v>1.6427364400684251E+19</v>
      </c>
      <c r="H16">
        <v>1061000</v>
      </c>
      <c r="I16">
        <f t="shared" si="4"/>
        <v>18357282024.716541</v>
      </c>
      <c r="J16">
        <f t="shared" si="5"/>
        <v>135489.04761904757</v>
      </c>
      <c r="K16">
        <f t="shared" si="6"/>
        <v>8.882638237678025E+17</v>
      </c>
      <c r="L16">
        <f t="shared" si="7"/>
        <v>8.5386517271823447E+23</v>
      </c>
      <c r="M16">
        <f t="shared" si="8"/>
        <v>2.7730020520215187E-5</v>
      </c>
      <c r="N16">
        <f t="shared" si="9"/>
        <v>9.4250706880301603E-7</v>
      </c>
      <c r="T16" t="s">
        <v>22</v>
      </c>
      <c r="U16">
        <f>U14/U3</f>
        <v>1.7411385576884184</v>
      </c>
      <c r="V16">
        <f>V14/V3</f>
        <v>0.13777712748687873</v>
      </c>
    </row>
    <row r="17" spans="1:22" x14ac:dyDescent="0.25">
      <c r="A17">
        <f t="shared" si="10"/>
        <v>16</v>
      </c>
      <c r="B17" s="1">
        <v>2019</v>
      </c>
      <c r="C17">
        <v>63281</v>
      </c>
      <c r="D17">
        <f t="shared" si="0"/>
        <v>1328217199.3673472</v>
      </c>
      <c r="E17">
        <f t="shared" si="1"/>
        <v>36444.71428571429</v>
      </c>
      <c r="F17">
        <f t="shared" si="2"/>
        <v>-48406496340314.586</v>
      </c>
      <c r="G17">
        <f t="shared" si="3"/>
        <v>1.7641609286952394E+18</v>
      </c>
      <c r="H17">
        <v>1089000</v>
      </c>
      <c r="I17">
        <f t="shared" si="4"/>
        <v>26728668691.383205</v>
      </c>
      <c r="J17">
        <f t="shared" si="5"/>
        <v>163489.04761904757</v>
      </c>
      <c r="K17">
        <f t="shared" si="6"/>
        <v>9.6816674608734528E+17</v>
      </c>
      <c r="L17">
        <f t="shared" si="7"/>
        <v>9.5778246618788279E+23</v>
      </c>
      <c r="M17">
        <f t="shared" si="8"/>
        <v>1.5802531565556802E-5</v>
      </c>
      <c r="N17">
        <f t="shared" si="9"/>
        <v>9.1827364554637285E-7</v>
      </c>
      <c r="T17" t="s">
        <v>25</v>
      </c>
      <c r="U17">
        <f>K23/(A22*U14^3)</f>
        <v>115.20480031503992</v>
      </c>
      <c r="V17">
        <f>K23/(A22*V14^3)</f>
        <v>290.88141654532677</v>
      </c>
    </row>
    <row r="18" spans="1:22" x14ac:dyDescent="0.25">
      <c r="A18">
        <f t="shared" si="10"/>
        <v>17</v>
      </c>
      <c r="B18" s="1">
        <v>2020</v>
      </c>
      <c r="C18">
        <v>194163</v>
      </c>
      <c r="D18">
        <f t="shared" si="0"/>
        <v>8918400933.0816326</v>
      </c>
      <c r="E18">
        <f t="shared" si="1"/>
        <v>94437.28571428571</v>
      </c>
      <c r="F18">
        <f t="shared" si="2"/>
        <v>842229577031982.38</v>
      </c>
      <c r="G18">
        <f t="shared" si="3"/>
        <v>7.9537875203191341E+19</v>
      </c>
      <c r="H18">
        <v>1011000</v>
      </c>
      <c r="I18">
        <f t="shared" si="4"/>
        <v>7308377262.8117838</v>
      </c>
      <c r="J18">
        <f t="shared" si="5"/>
        <v>85489.047619047575</v>
      </c>
      <c r="K18">
        <f t="shared" si="6"/>
        <v>7.5674114305433306E+17</v>
      </c>
      <c r="L18">
        <f t="shared" si="7"/>
        <v>6.8959874460744942E+23</v>
      </c>
      <c r="M18">
        <f t="shared" si="8"/>
        <v>5.1503118513826009E-6</v>
      </c>
      <c r="N18">
        <f t="shared" si="9"/>
        <v>9.891196834817012E-7</v>
      </c>
      <c r="T18" t="s">
        <v>0</v>
      </c>
      <c r="U18">
        <f>G23/(A22*U14^4)</f>
        <v>3.309652709790011</v>
      </c>
      <c r="V18">
        <f>L23/(A22*V14^4)</f>
        <v>2008.5414325671868</v>
      </c>
    </row>
    <row r="19" spans="1:22" x14ac:dyDescent="0.25">
      <c r="A19">
        <f t="shared" si="10"/>
        <v>18</v>
      </c>
      <c r="B19" s="1">
        <v>2021</v>
      </c>
      <c r="C19">
        <v>355961</v>
      </c>
      <c r="D19">
        <f t="shared" si="0"/>
        <v>65656521645.081627</v>
      </c>
      <c r="E19">
        <f t="shared" si="1"/>
        <v>256235.28571428571</v>
      </c>
      <c r="F19">
        <f t="shared" si="2"/>
        <v>1.6823517582733674E+16</v>
      </c>
      <c r="G19">
        <f t="shared" si="3"/>
        <v>4.3107788345310723E+21</v>
      </c>
      <c r="H19">
        <v>977500</v>
      </c>
      <c r="I19">
        <f t="shared" si="4"/>
        <v>2702861072.3355961</v>
      </c>
      <c r="J19">
        <f t="shared" si="5"/>
        <v>51989.047619047575</v>
      </c>
      <c r="K19">
        <f t="shared" si="6"/>
        <v>6.7631428758845158E+17</v>
      </c>
      <c r="L19">
        <f t="shared" si="7"/>
        <v>5.936512907063191E+23</v>
      </c>
      <c r="M19">
        <f t="shared" si="8"/>
        <v>2.8092965240574107E-6</v>
      </c>
      <c r="N19">
        <f t="shared" si="9"/>
        <v>1.0230179028132991E-6</v>
      </c>
    </row>
    <row r="20" spans="1:22" x14ac:dyDescent="0.25">
      <c r="A20">
        <f t="shared" si="10"/>
        <v>19</v>
      </c>
      <c r="B20" s="1">
        <v>2022</v>
      </c>
      <c r="C20">
        <v>470559</v>
      </c>
      <c r="D20">
        <f t="shared" si="0"/>
        <v>137517325793.65305</v>
      </c>
      <c r="E20">
        <f t="shared" si="1"/>
        <v>370833.28571428568</v>
      </c>
      <c r="F20">
        <f t="shared" si="2"/>
        <v>5.0996001766702248E+16</v>
      </c>
      <c r="G20">
        <f t="shared" si="3"/>
        <v>1.8911014893437713E+22</v>
      </c>
      <c r="H20">
        <v>1061900</v>
      </c>
      <c r="I20">
        <f t="shared" si="4"/>
        <v>18601972310.430828</v>
      </c>
      <c r="J20">
        <f t="shared" si="5"/>
        <v>136389.04761904757</v>
      </c>
      <c r="K20">
        <f t="shared" si="6"/>
        <v>8.9076109067473075E+17</v>
      </c>
      <c r="L20">
        <f t="shared" si="7"/>
        <v>8.5706741616203705E+23</v>
      </c>
      <c r="M20">
        <f t="shared" si="8"/>
        <v>2.1251320238269803E-6</v>
      </c>
      <c r="N20">
        <f t="shared" si="9"/>
        <v>9.4170825878142952E-7</v>
      </c>
    </row>
    <row r="21" spans="1:22" x14ac:dyDescent="0.25">
      <c r="A21">
        <f t="shared" si="10"/>
        <v>20</v>
      </c>
      <c r="B21" s="1">
        <v>2023</v>
      </c>
      <c r="C21">
        <v>524219</v>
      </c>
      <c r="D21">
        <f t="shared" si="0"/>
        <v>180194549616.51016</v>
      </c>
      <c r="E21">
        <f t="shared" si="1"/>
        <v>424493.28571428568</v>
      </c>
      <c r="F21">
        <f t="shared" si="2"/>
        <v>7.6491376434518272E+16</v>
      </c>
      <c r="G21">
        <f t="shared" si="3"/>
        <v>3.2470075711496942E+22</v>
      </c>
      <c r="H21">
        <v>1091600</v>
      </c>
      <c r="I21">
        <f t="shared" si="4"/>
        <v>27585571739.002254</v>
      </c>
      <c r="J21">
        <f t="shared" si="5"/>
        <v>166089.04761904757</v>
      </c>
      <c r="K21">
        <f t="shared" si="6"/>
        <v>9.7582040232238861E+17</v>
      </c>
      <c r="L21">
        <f t="shared" si="7"/>
        <v>9.6789116453894594E+23</v>
      </c>
      <c r="M21">
        <f t="shared" si="8"/>
        <v>1.9075996863906114E-6</v>
      </c>
      <c r="N21">
        <f t="shared" si="9"/>
        <v>9.1608647856357642E-7</v>
      </c>
    </row>
    <row r="22" spans="1:22" x14ac:dyDescent="0.25">
      <c r="A22">
        <f t="shared" si="10"/>
        <v>21</v>
      </c>
      <c r="B22" s="1">
        <v>2024</v>
      </c>
      <c r="C22">
        <v>380609</v>
      </c>
      <c r="D22">
        <f t="shared" si="0"/>
        <v>78895420193.653046</v>
      </c>
      <c r="E22">
        <f t="shared" si="1"/>
        <v>280883.28571428568</v>
      </c>
      <c r="F22">
        <f t="shared" si="2"/>
        <v>2.2160404851802472E+16</v>
      </c>
      <c r="G22">
        <f t="shared" si="3"/>
        <v>6.2244873275330768E+21</v>
      </c>
      <c r="H22">
        <v>1118300</v>
      </c>
      <c r="I22">
        <f t="shared" si="4"/>
        <v>37167616881.85939</v>
      </c>
      <c r="J22">
        <f t="shared" si="5"/>
        <v>192789.04761904757</v>
      </c>
      <c r="K22">
        <f t="shared" si="6"/>
        <v>1.0567642776167813E+18</v>
      </c>
      <c r="L22">
        <f t="shared" si="7"/>
        <v>1.0763929192418861E+24</v>
      </c>
      <c r="M22">
        <f t="shared" si="8"/>
        <v>2.6273682440509813E-6</v>
      </c>
      <c r="N22">
        <f t="shared" si="9"/>
        <v>8.9421443262094248E-7</v>
      </c>
    </row>
    <row r="23" spans="1:22" x14ac:dyDescent="0.25">
      <c r="B23" t="s">
        <v>5</v>
      </c>
      <c r="C23">
        <f t="shared" ref="C23:N23" si="11">SUM(C2:C22)</f>
        <v>2094240</v>
      </c>
      <c r="D23">
        <f t="shared" si="11"/>
        <v>602991198650.28564</v>
      </c>
      <c r="E23">
        <f t="shared" si="11"/>
        <v>2853764.8571428573</v>
      </c>
      <c r="F23">
        <f t="shared" si="11"/>
        <v>1.5490285023196301E+17</v>
      </c>
      <c r="G23">
        <f t="shared" si="11"/>
        <v>6.3177680072893593E+22</v>
      </c>
      <c r="H23">
        <f t="shared" si="11"/>
        <v>19435730</v>
      </c>
      <c r="I23">
        <f t="shared" si="11"/>
        <v>341288807706.95239</v>
      </c>
      <c r="J23">
        <f t="shared" si="11"/>
        <v>2383803.0476190476</v>
      </c>
      <c r="K23">
        <f t="shared" si="11"/>
        <v>1.2665179125994789E+19</v>
      </c>
      <c r="L23">
        <f t="shared" si="11"/>
        <v>1.1151539916722273E+25</v>
      </c>
      <c r="M23">
        <f t="shared" si="11"/>
        <v>0.25245240806369057</v>
      </c>
      <c r="N23">
        <f t="shared" si="11"/>
        <v>2.3143095923142254E-5</v>
      </c>
    </row>
    <row r="24" spans="1:22" x14ac:dyDescent="0.25">
      <c r="C24">
        <f>C23/$A22</f>
        <v>99725.71428571429</v>
      </c>
      <c r="H24">
        <f>H23/$A22</f>
        <v>925510.95238095243</v>
      </c>
      <c r="M24" s="1">
        <f>1/M23</f>
        <v>3.9611426473211244</v>
      </c>
      <c r="N24" s="1">
        <f>1/N23</f>
        <v>43209.430722707948</v>
      </c>
    </row>
    <row r="25" spans="1:22" x14ac:dyDescent="0.25">
      <c r="B25" t="s">
        <v>6</v>
      </c>
      <c r="C25">
        <f>PRODUCT(C2:C22)</f>
        <v>2.3627841918946804E+76</v>
      </c>
      <c r="H25">
        <f>PRODUCT(H2:H22)</f>
        <v>1.6032537028427358E+125</v>
      </c>
      <c r="M25">
        <f>M24*$A22</f>
        <v>83.183995593743617</v>
      </c>
      <c r="N25">
        <f>N24*$A22</f>
        <v>907398.04517686693</v>
      </c>
    </row>
    <row r="26" spans="1:22" x14ac:dyDescent="0.25">
      <c r="C26">
        <f>C25^(1/$A22)</f>
        <v>4333.4093592955478</v>
      </c>
      <c r="H26">
        <f>H25^(1/$A22)</f>
        <v>916522.14820521977</v>
      </c>
    </row>
  </sheetData>
  <sortState xmlns:xlrd2="http://schemas.microsoft.com/office/spreadsheetml/2017/richdata2" ref="M3:N24">
    <sortCondition ref="M3:M24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1F27-03E8-4222-BC38-B346F01F1399}">
  <dimension ref="B2:D24"/>
  <sheetViews>
    <sheetView workbookViewId="0">
      <selection activeCell="N9" sqref="N9"/>
    </sheetView>
  </sheetViews>
  <sheetFormatPr baseColWidth="10" defaultRowHeight="15" x14ac:dyDescent="0.25"/>
  <sheetData>
    <row r="2" spans="2:4" x14ac:dyDescent="0.25">
      <c r="B2" t="s">
        <v>26</v>
      </c>
      <c r="C2" t="s">
        <v>27</v>
      </c>
      <c r="D2" t="s">
        <v>28</v>
      </c>
    </row>
    <row r="3" spans="2:4" x14ac:dyDescent="0.25">
      <c r="B3">
        <v>1</v>
      </c>
      <c r="C3">
        <v>2</v>
      </c>
      <c r="D3">
        <v>36</v>
      </c>
    </row>
    <row r="4" spans="2:4" x14ac:dyDescent="0.25">
      <c r="B4">
        <v>2</v>
      </c>
      <c r="C4">
        <v>4</v>
      </c>
      <c r="D4">
        <v>44</v>
      </c>
    </row>
    <row r="5" spans="2:4" x14ac:dyDescent="0.25">
      <c r="B5">
        <v>3</v>
      </c>
      <c r="C5">
        <v>3</v>
      </c>
      <c r="D5">
        <v>30</v>
      </c>
    </row>
    <row r="6" spans="2:4" x14ac:dyDescent="0.25">
      <c r="B6">
        <v>4</v>
      </c>
      <c r="C6">
        <v>6</v>
      </c>
      <c r="D6">
        <v>67</v>
      </c>
    </row>
    <row r="7" spans="2:4" x14ac:dyDescent="0.25">
      <c r="B7">
        <v>5</v>
      </c>
      <c r="C7">
        <v>2</v>
      </c>
      <c r="D7">
        <v>21</v>
      </c>
    </row>
    <row r="8" spans="2:4" x14ac:dyDescent="0.25">
      <c r="B8">
        <v>6</v>
      </c>
      <c r="C8">
        <v>1</v>
      </c>
      <c r="D8">
        <v>8</v>
      </c>
    </row>
    <row r="9" spans="2:4" x14ac:dyDescent="0.25">
      <c r="B9">
        <v>7</v>
      </c>
      <c r="C9">
        <v>5</v>
      </c>
      <c r="D9">
        <v>62</v>
      </c>
    </row>
    <row r="10" spans="2:4" x14ac:dyDescent="0.25">
      <c r="B10">
        <v>8</v>
      </c>
      <c r="C10">
        <v>3</v>
      </c>
      <c r="D10">
        <v>35</v>
      </c>
    </row>
    <row r="11" spans="2:4" x14ac:dyDescent="0.25">
      <c r="B11">
        <v>9</v>
      </c>
      <c r="C11">
        <v>4</v>
      </c>
      <c r="D11">
        <v>33</v>
      </c>
    </row>
    <row r="12" spans="2:4" x14ac:dyDescent="0.25">
      <c r="B12">
        <v>10</v>
      </c>
      <c r="C12">
        <v>2</v>
      </c>
      <c r="D12">
        <v>37</v>
      </c>
    </row>
    <row r="13" spans="2:4" x14ac:dyDescent="0.25">
      <c r="B13">
        <v>11</v>
      </c>
      <c r="C13">
        <v>2</v>
      </c>
      <c r="D13">
        <v>22</v>
      </c>
    </row>
    <row r="14" spans="2:4" x14ac:dyDescent="0.25">
      <c r="B14">
        <v>12</v>
      </c>
      <c r="C14">
        <v>7</v>
      </c>
      <c r="D14">
        <v>72</v>
      </c>
    </row>
    <row r="15" spans="2:4" x14ac:dyDescent="0.25">
      <c r="B15">
        <v>13</v>
      </c>
      <c r="C15">
        <v>4</v>
      </c>
      <c r="D15">
        <v>65</v>
      </c>
    </row>
    <row r="16" spans="2:4" x14ac:dyDescent="0.25">
      <c r="B16">
        <v>14</v>
      </c>
      <c r="C16">
        <v>3</v>
      </c>
      <c r="D16">
        <v>45</v>
      </c>
    </row>
    <row r="17" spans="2:4" x14ac:dyDescent="0.25">
      <c r="B17">
        <v>15</v>
      </c>
      <c r="C17">
        <v>2</v>
      </c>
      <c r="D17">
        <v>23</v>
      </c>
    </row>
    <row r="18" spans="2:4" x14ac:dyDescent="0.25">
      <c r="B18">
        <v>16</v>
      </c>
      <c r="C18">
        <v>1</v>
      </c>
      <c r="D18">
        <v>17</v>
      </c>
    </row>
    <row r="19" spans="2:4" x14ac:dyDescent="0.25">
      <c r="B19">
        <v>17</v>
      </c>
      <c r="C19">
        <v>5</v>
      </c>
      <c r="D19">
        <v>44</v>
      </c>
    </row>
    <row r="20" spans="2:4" x14ac:dyDescent="0.25">
      <c r="B20">
        <v>18</v>
      </c>
      <c r="C20">
        <v>4</v>
      </c>
      <c r="D20">
        <v>56</v>
      </c>
    </row>
    <row r="21" spans="2:4" x14ac:dyDescent="0.25">
      <c r="B21">
        <v>19</v>
      </c>
      <c r="C21">
        <v>3</v>
      </c>
      <c r="D21">
        <v>32</v>
      </c>
    </row>
    <row r="22" spans="2:4" x14ac:dyDescent="0.25">
      <c r="B22">
        <v>20</v>
      </c>
      <c r="C22">
        <v>3</v>
      </c>
      <c r="D22">
        <v>37</v>
      </c>
    </row>
    <row r="23" spans="2:4" x14ac:dyDescent="0.25">
      <c r="B23">
        <v>21</v>
      </c>
      <c r="C23">
        <v>1</v>
      </c>
      <c r="D23">
        <v>22</v>
      </c>
    </row>
    <row r="24" spans="2:4" x14ac:dyDescent="0.25">
      <c r="B24">
        <v>22</v>
      </c>
      <c r="C24">
        <v>6</v>
      </c>
      <c r="D24">
        <v>48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FEAD-BE6F-4D1D-AED7-B0526D9B8A49}">
  <dimension ref="A3:F14"/>
  <sheetViews>
    <sheetView workbookViewId="0">
      <selection activeCell="E4" sqref="E4"/>
    </sheetView>
  </sheetViews>
  <sheetFormatPr baseColWidth="10" defaultRowHeight="15" x14ac:dyDescent="0.25"/>
  <sheetData>
    <row r="3" spans="1:6" x14ac:dyDescent="0.25">
      <c r="C3" t="s">
        <v>29</v>
      </c>
      <c r="D3" t="s">
        <v>30</v>
      </c>
    </row>
    <row r="4" spans="1:6" x14ac:dyDescent="0.25">
      <c r="B4" t="s">
        <v>31</v>
      </c>
      <c r="C4" t="s">
        <v>32</v>
      </c>
      <c r="D4" t="s">
        <v>33</v>
      </c>
      <c r="E4" t="s">
        <v>34</v>
      </c>
      <c r="F4" t="s">
        <v>35</v>
      </c>
    </row>
    <row r="5" spans="1:6" x14ac:dyDescent="0.25">
      <c r="A5">
        <v>1</v>
      </c>
      <c r="B5">
        <v>2008</v>
      </c>
      <c r="C5">
        <v>9</v>
      </c>
      <c r="D5">
        <v>24</v>
      </c>
      <c r="E5">
        <f>C5*D5</f>
        <v>216</v>
      </c>
      <c r="F5">
        <f>C5^2</f>
        <v>81</v>
      </c>
    </row>
    <row r="6" spans="1:6" x14ac:dyDescent="0.25">
      <c r="A6">
        <f>A5+1</f>
        <v>2</v>
      </c>
      <c r="B6">
        <v>2009</v>
      </c>
      <c r="C6">
        <v>11</v>
      </c>
      <c r="D6">
        <v>33</v>
      </c>
      <c r="E6">
        <f t="shared" ref="E6:E10" si="0">C6*D6</f>
        <v>363</v>
      </c>
      <c r="F6">
        <f t="shared" ref="F6:F10" si="1">C6^2</f>
        <v>121</v>
      </c>
    </row>
    <row r="7" spans="1:6" x14ac:dyDescent="0.25">
      <c r="A7">
        <f t="shared" ref="A7:A10" si="2">A6+1</f>
        <v>3</v>
      </c>
      <c r="B7">
        <v>2010</v>
      </c>
      <c r="C7">
        <v>5</v>
      </c>
      <c r="D7">
        <v>10</v>
      </c>
      <c r="E7">
        <f t="shared" si="0"/>
        <v>50</v>
      </c>
      <c r="F7">
        <f t="shared" si="1"/>
        <v>25</v>
      </c>
    </row>
    <row r="8" spans="1:6" x14ac:dyDescent="0.25">
      <c r="A8">
        <f t="shared" si="2"/>
        <v>4</v>
      </c>
      <c r="B8">
        <v>2011</v>
      </c>
      <c r="C8">
        <v>13</v>
      </c>
      <c r="D8">
        <v>29</v>
      </c>
      <c r="E8">
        <f t="shared" si="0"/>
        <v>377</v>
      </c>
      <c r="F8">
        <f t="shared" si="1"/>
        <v>169</v>
      </c>
    </row>
    <row r="9" spans="1:6" x14ac:dyDescent="0.25">
      <c r="A9">
        <f t="shared" si="2"/>
        <v>5</v>
      </c>
      <c r="B9">
        <v>2012</v>
      </c>
      <c r="C9">
        <v>20</v>
      </c>
      <c r="D9">
        <v>42</v>
      </c>
      <c r="E9">
        <f t="shared" si="0"/>
        <v>840</v>
      </c>
      <c r="F9">
        <f t="shared" si="1"/>
        <v>400</v>
      </c>
    </row>
    <row r="10" spans="1:6" x14ac:dyDescent="0.25">
      <c r="A10">
        <f t="shared" si="2"/>
        <v>6</v>
      </c>
      <c r="B10">
        <v>2013</v>
      </c>
      <c r="C10">
        <v>12</v>
      </c>
      <c r="D10">
        <v>24</v>
      </c>
      <c r="E10">
        <f t="shared" si="0"/>
        <v>288</v>
      </c>
      <c r="F10">
        <f t="shared" si="1"/>
        <v>144</v>
      </c>
    </row>
    <row r="11" spans="1:6" x14ac:dyDescent="0.25">
      <c r="B11" t="s">
        <v>5</v>
      </c>
      <c r="C11">
        <f>SUM(C5:C10)</f>
        <v>70</v>
      </c>
      <c r="D11">
        <f>SUM(D5:D10)</f>
        <v>162</v>
      </c>
      <c r="E11">
        <f>SUM(E5:E10)</f>
        <v>2134</v>
      </c>
      <c r="F11">
        <f>SUM(F5:F10)</f>
        <v>940</v>
      </c>
    </row>
    <row r="12" spans="1:6" x14ac:dyDescent="0.25">
      <c r="C12">
        <f>AVERAGE(C5:C10)</f>
        <v>11.666666666666666</v>
      </c>
      <c r="D12">
        <f>AVERAGE(D5:D10)</f>
        <v>27</v>
      </c>
    </row>
    <row r="13" spans="1:6" x14ac:dyDescent="0.25">
      <c r="B13" t="s">
        <v>36</v>
      </c>
      <c r="C13">
        <f>(6*E11-C11*D11)/(6*F11-C11^2)</f>
        <v>1.9783783783783784</v>
      </c>
      <c r="D13">
        <f>SLOPE(D5:D10,C5:C10)</f>
        <v>1.9783783783783782</v>
      </c>
    </row>
    <row r="14" spans="1:6" x14ac:dyDescent="0.25">
      <c r="B14" t="s">
        <v>37</v>
      </c>
      <c r="C14">
        <f>D12-C13*C12</f>
        <v>3.9189189189189193</v>
      </c>
      <c r="D14">
        <f>INTERCEPT(D5:D10,C5:C10)</f>
        <v>3.9189189189189229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A499-54F7-4516-AF1D-F1DAEA0CB907}">
  <dimension ref="A2:S19"/>
  <sheetViews>
    <sheetView tabSelected="1" topLeftCell="H1" workbookViewId="0">
      <selection activeCell="S12" sqref="S12"/>
    </sheetView>
  </sheetViews>
  <sheetFormatPr baseColWidth="10" defaultRowHeight="15" x14ac:dyDescent="0.25"/>
  <cols>
    <col min="18" max="19" width="12.85546875" bestFit="1" customWidth="1"/>
  </cols>
  <sheetData>
    <row r="2" spans="1:19" x14ac:dyDescent="0.25">
      <c r="B2" t="s">
        <v>32</v>
      </c>
      <c r="C2" t="s">
        <v>33</v>
      </c>
      <c r="D2" t="s">
        <v>34</v>
      </c>
      <c r="E2" t="s">
        <v>35</v>
      </c>
      <c r="F2" t="s">
        <v>38</v>
      </c>
      <c r="N2" t="s">
        <v>45</v>
      </c>
      <c r="O2" t="s">
        <v>32</v>
      </c>
      <c r="P2" t="s">
        <v>33</v>
      </c>
      <c r="Q2" t="s">
        <v>46</v>
      </c>
      <c r="R2" t="s">
        <v>47</v>
      </c>
      <c r="S2" t="s">
        <v>48</v>
      </c>
    </row>
    <row r="3" spans="1:19" x14ac:dyDescent="0.25">
      <c r="B3">
        <v>1</v>
      </c>
      <c r="C3">
        <v>8</v>
      </c>
      <c r="D3">
        <f>B3*C3</f>
        <v>8</v>
      </c>
      <c r="E3">
        <f>B3^2</f>
        <v>1</v>
      </c>
      <c r="F3">
        <f>C3^2</f>
        <v>64</v>
      </c>
      <c r="N3">
        <v>1</v>
      </c>
      <c r="O3">
        <v>9</v>
      </c>
      <c r="P3">
        <v>24</v>
      </c>
      <c r="Q3">
        <f>$P$10+$P$11*O3</f>
        <v>21.724324324324325</v>
      </c>
      <c r="R3">
        <f>(Q3-$P$9)^2</f>
        <v>27.832753834915991</v>
      </c>
      <c r="S3">
        <f>(P3-$P$9)^2</f>
        <v>9</v>
      </c>
    </row>
    <row r="4" spans="1:19" x14ac:dyDescent="0.25">
      <c r="B4">
        <f t="shared" ref="B4:B8" si="0">1+B3</f>
        <v>2</v>
      </c>
      <c r="C4">
        <v>12</v>
      </c>
      <c r="D4">
        <f t="shared" ref="D4:D8" si="1">B4*C4</f>
        <v>24</v>
      </c>
      <c r="E4">
        <f t="shared" ref="E4:E8" si="2">B4^2</f>
        <v>4</v>
      </c>
      <c r="F4">
        <f t="shared" ref="F4:F8" si="3">C4^2</f>
        <v>144</v>
      </c>
      <c r="N4">
        <v>2</v>
      </c>
      <c r="O4">
        <v>11</v>
      </c>
      <c r="P4">
        <v>33</v>
      </c>
      <c r="Q4">
        <f t="shared" ref="Q4:Q8" si="4">$P$10+$P$11*O4</f>
        <v>25.681081081081082</v>
      </c>
      <c r="R4">
        <f t="shared" ref="R4:R9" si="5">(Q4-$P$9)^2</f>
        <v>1.739547114682247</v>
      </c>
      <c r="S4">
        <f t="shared" ref="S4:S8" si="6">(P4-$P$9)^2</f>
        <v>36</v>
      </c>
    </row>
    <row r="5" spans="1:19" x14ac:dyDescent="0.25">
      <c r="B5">
        <f t="shared" si="0"/>
        <v>3</v>
      </c>
      <c r="C5">
        <v>15</v>
      </c>
      <c r="D5">
        <f t="shared" si="1"/>
        <v>45</v>
      </c>
      <c r="E5">
        <f t="shared" si="2"/>
        <v>9</v>
      </c>
      <c r="F5">
        <f t="shared" si="3"/>
        <v>225</v>
      </c>
      <c r="N5">
        <v>3</v>
      </c>
      <c r="O5">
        <v>5</v>
      </c>
      <c r="P5">
        <v>10</v>
      </c>
      <c r="Q5">
        <f t="shared" si="4"/>
        <v>13.810810810810814</v>
      </c>
      <c r="R5">
        <f t="shared" si="5"/>
        <v>173.9547114682249</v>
      </c>
      <c r="S5">
        <f t="shared" si="6"/>
        <v>289</v>
      </c>
    </row>
    <row r="6" spans="1:19" x14ac:dyDescent="0.25">
      <c r="B6">
        <f t="shared" si="0"/>
        <v>4</v>
      </c>
      <c r="C6">
        <v>16</v>
      </c>
      <c r="D6">
        <f t="shared" si="1"/>
        <v>64</v>
      </c>
      <c r="E6">
        <f t="shared" si="2"/>
        <v>16</v>
      </c>
      <c r="F6">
        <f t="shared" si="3"/>
        <v>256</v>
      </c>
      <c r="N6">
        <v>4</v>
      </c>
      <c r="O6">
        <v>13</v>
      </c>
      <c r="P6">
        <v>29</v>
      </c>
      <c r="Q6">
        <f t="shared" si="4"/>
        <v>29.637837837837839</v>
      </c>
      <c r="R6">
        <f t="shared" si="5"/>
        <v>6.9581884587290075</v>
      </c>
      <c r="S6">
        <f t="shared" si="6"/>
        <v>4</v>
      </c>
    </row>
    <row r="7" spans="1:19" x14ac:dyDescent="0.25">
      <c r="B7">
        <f t="shared" si="0"/>
        <v>5</v>
      </c>
      <c r="C7">
        <v>21</v>
      </c>
      <c r="D7">
        <f t="shared" si="1"/>
        <v>105</v>
      </c>
      <c r="E7">
        <f t="shared" si="2"/>
        <v>25</v>
      </c>
      <c r="F7">
        <f t="shared" si="3"/>
        <v>441</v>
      </c>
      <c r="N7">
        <v>5</v>
      </c>
      <c r="O7">
        <v>20</v>
      </c>
      <c r="P7">
        <v>42</v>
      </c>
      <c r="Q7">
        <f t="shared" si="4"/>
        <v>43.486486486486484</v>
      </c>
      <c r="R7">
        <f t="shared" si="5"/>
        <v>271.80423666910144</v>
      </c>
      <c r="S7">
        <f t="shared" si="6"/>
        <v>225</v>
      </c>
    </row>
    <row r="8" spans="1:19" x14ac:dyDescent="0.25">
      <c r="B8">
        <f t="shared" si="0"/>
        <v>6</v>
      </c>
      <c r="C8">
        <v>22</v>
      </c>
      <c r="D8">
        <f t="shared" si="1"/>
        <v>132</v>
      </c>
      <c r="E8">
        <f t="shared" si="2"/>
        <v>36</v>
      </c>
      <c r="F8">
        <f t="shared" si="3"/>
        <v>484</v>
      </c>
      <c r="N8">
        <v>6</v>
      </c>
      <c r="O8">
        <v>12</v>
      </c>
      <c r="P8">
        <v>24</v>
      </c>
      <c r="Q8">
        <f>$P$10+$P$11*O8</f>
        <v>27.659459459459459</v>
      </c>
      <c r="R8">
        <f t="shared" si="5"/>
        <v>0.43488677867056175</v>
      </c>
      <c r="S8">
        <f t="shared" si="6"/>
        <v>9</v>
      </c>
    </row>
    <row r="9" spans="1:19" x14ac:dyDescent="0.25">
      <c r="A9" t="s">
        <v>5</v>
      </c>
      <c r="B9">
        <f>SUM(B3:B8)</f>
        <v>21</v>
      </c>
      <c r="C9">
        <f t="shared" ref="C9:F9" si="7">SUM(C3:C8)</f>
        <v>94</v>
      </c>
      <c r="D9">
        <f t="shared" si="7"/>
        <v>378</v>
      </c>
      <c r="E9">
        <f t="shared" si="7"/>
        <v>91</v>
      </c>
      <c r="F9">
        <f t="shared" si="7"/>
        <v>1614</v>
      </c>
      <c r="G9" t="s">
        <v>40</v>
      </c>
      <c r="H9" t="s">
        <v>41</v>
      </c>
      <c r="I9" t="s">
        <v>42</v>
      </c>
      <c r="J9" t="s">
        <v>43</v>
      </c>
      <c r="L9" t="s">
        <v>44</v>
      </c>
      <c r="P9">
        <f>AVERAGE(P3:P8)</f>
        <v>27</v>
      </c>
      <c r="Q9">
        <f>SUM(Q3:Q8)</f>
        <v>162</v>
      </c>
      <c r="R9">
        <f>SUM(R3:R8)</f>
        <v>482.72432432432413</v>
      </c>
      <c r="S9">
        <f>SUM(S3:S8)</f>
        <v>572</v>
      </c>
    </row>
    <row r="10" spans="1:19" x14ac:dyDescent="0.25">
      <c r="A10" t="s">
        <v>39</v>
      </c>
      <c r="D10">
        <f>B8*D9</f>
        <v>2268</v>
      </c>
      <c r="E10">
        <f>B8*E9</f>
        <v>546</v>
      </c>
      <c r="F10">
        <f>B8*F9</f>
        <v>9684</v>
      </c>
      <c r="G10">
        <f>B9*C9</f>
        <v>1974</v>
      </c>
      <c r="H10">
        <f>B9^2</f>
        <v>441</v>
      </c>
      <c r="I10">
        <f>C9^2</f>
        <v>8836</v>
      </c>
      <c r="J10">
        <f>(D10-G10)/SQRT((E10-H10)*(F10-I10))</f>
        <v>0.98526885517666307</v>
      </c>
      <c r="K10">
        <f>CORREL(B3:B8,C3:C8)</f>
        <v>0.98526885517666296</v>
      </c>
      <c r="L10">
        <f>J10^2</f>
        <v>0.97075471698113225</v>
      </c>
      <c r="M10">
        <f>RSQ(B3:B8,C3:C8)</f>
        <v>0.97075471698113203</v>
      </c>
      <c r="O10" t="s">
        <v>37</v>
      </c>
      <c r="P10">
        <f>INTERCEPT(P3:P8,O3:O8)</f>
        <v>3.9189189189189229</v>
      </c>
      <c r="R10" t="s">
        <v>44</v>
      </c>
      <c r="S10">
        <f>R9/S9</f>
        <v>0.84392364392364361</v>
      </c>
    </row>
    <row r="11" spans="1:19" x14ac:dyDescent="0.25">
      <c r="B11" t="s">
        <v>32</v>
      </c>
      <c r="C11" t="s">
        <v>33</v>
      </c>
      <c r="D11" t="s">
        <v>34</v>
      </c>
      <c r="E11" t="s">
        <v>35</v>
      </c>
      <c r="F11" t="s">
        <v>38</v>
      </c>
      <c r="P11">
        <f>SLOPE(P3:P8,O3:O8)</f>
        <v>1.9783783783783782</v>
      </c>
      <c r="S11">
        <f>RSQ(P3:P8,O3:O8)</f>
        <v>0.84392364392364394</v>
      </c>
    </row>
    <row r="12" spans="1:19" x14ac:dyDescent="0.25">
      <c r="B12">
        <v>1</v>
      </c>
      <c r="C12">
        <v>24</v>
      </c>
      <c r="D12">
        <f>B12*C12</f>
        <v>24</v>
      </c>
      <c r="E12">
        <f>B12^2</f>
        <v>1</v>
      </c>
      <c r="F12">
        <f>C12^2</f>
        <v>576</v>
      </c>
    </row>
    <row r="13" spans="1:19" x14ac:dyDescent="0.25">
      <c r="B13">
        <f t="shared" ref="B13:B17" si="8">1+B12</f>
        <v>2</v>
      </c>
      <c r="C13">
        <v>9</v>
      </c>
      <c r="D13">
        <f t="shared" ref="D13:D17" si="9">B13*C13</f>
        <v>18</v>
      </c>
      <c r="E13">
        <f t="shared" ref="E13:E17" si="10">B13^2</f>
        <v>4</v>
      </c>
      <c r="F13">
        <f t="shared" ref="F13:F17" si="11">C13^2</f>
        <v>81</v>
      </c>
    </row>
    <row r="14" spans="1:19" x14ac:dyDescent="0.25">
      <c r="B14">
        <f t="shared" si="8"/>
        <v>3</v>
      </c>
      <c r="C14">
        <v>18</v>
      </c>
      <c r="D14">
        <f t="shared" si="9"/>
        <v>54</v>
      </c>
      <c r="E14">
        <f t="shared" si="10"/>
        <v>9</v>
      </c>
      <c r="F14">
        <f t="shared" si="11"/>
        <v>324</v>
      </c>
    </row>
    <row r="15" spans="1:19" x14ac:dyDescent="0.25">
      <c r="B15">
        <f t="shared" si="8"/>
        <v>4</v>
      </c>
      <c r="C15">
        <v>8</v>
      </c>
      <c r="D15">
        <f t="shared" si="9"/>
        <v>32</v>
      </c>
      <c r="E15">
        <f t="shared" si="10"/>
        <v>16</v>
      </c>
      <c r="F15">
        <f t="shared" si="11"/>
        <v>64</v>
      </c>
    </row>
    <row r="16" spans="1:19" x14ac:dyDescent="0.25">
      <c r="B16">
        <f t="shared" si="8"/>
        <v>5</v>
      </c>
      <c r="C16">
        <v>19</v>
      </c>
      <c r="D16">
        <f t="shared" si="9"/>
        <v>95</v>
      </c>
      <c r="E16">
        <f t="shared" si="10"/>
        <v>25</v>
      </c>
      <c r="F16">
        <f t="shared" si="11"/>
        <v>361</v>
      </c>
    </row>
    <row r="17" spans="1:13" x14ac:dyDescent="0.25">
      <c r="B17">
        <f t="shared" si="8"/>
        <v>6</v>
      </c>
      <c r="C17">
        <v>8</v>
      </c>
      <c r="D17">
        <f t="shared" si="9"/>
        <v>48</v>
      </c>
      <c r="E17">
        <f t="shared" si="10"/>
        <v>36</v>
      </c>
      <c r="F17">
        <f t="shared" si="11"/>
        <v>64</v>
      </c>
    </row>
    <row r="18" spans="1:13" x14ac:dyDescent="0.25">
      <c r="A18" t="s">
        <v>5</v>
      </c>
      <c r="B18">
        <f>SUM(B12:B17)</f>
        <v>21</v>
      </c>
      <c r="C18">
        <f t="shared" ref="C18" si="12">SUM(C12:C17)</f>
        <v>86</v>
      </c>
      <c r="D18">
        <f t="shared" ref="D18" si="13">SUM(D12:D17)</f>
        <v>271</v>
      </c>
      <c r="E18">
        <f t="shared" ref="E18" si="14">SUM(E12:E17)</f>
        <v>91</v>
      </c>
      <c r="F18">
        <f t="shared" ref="F18" si="15">SUM(F12:F17)</f>
        <v>1470</v>
      </c>
      <c r="G18" t="s">
        <v>40</v>
      </c>
      <c r="H18" t="s">
        <v>41</v>
      </c>
      <c r="I18" t="s">
        <v>42</v>
      </c>
      <c r="J18" t="s">
        <v>43</v>
      </c>
      <c r="L18" t="s">
        <v>44</v>
      </c>
    </row>
    <row r="19" spans="1:13" x14ac:dyDescent="0.25">
      <c r="D19">
        <f>B17*D18</f>
        <v>1626</v>
      </c>
      <c r="E19">
        <f>B17*E18</f>
        <v>546</v>
      </c>
      <c r="F19">
        <f>B17*F18</f>
        <v>8820</v>
      </c>
      <c r="G19">
        <f>B18*C18</f>
        <v>1806</v>
      </c>
      <c r="H19">
        <f>B18^2</f>
        <v>441</v>
      </c>
      <c r="I19">
        <f>C18^2</f>
        <v>7396</v>
      </c>
      <c r="J19">
        <f>(D19-G19)/SQRT((E19-H19)*(F19-I19))</f>
        <v>-0.46550340379057376</v>
      </c>
      <c r="K19">
        <f>CORREL(B12:B17,C12:C17)</f>
        <v>-0.46550340379057381</v>
      </c>
      <c r="L19">
        <f>J19^2</f>
        <v>0.21669341894060995</v>
      </c>
      <c r="M19">
        <f>RSQ(B12:B17,C12:C17)</f>
        <v>0.21669341894061001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Data</vt:lpstr>
      <vt:lpstr>Scatterplot</vt:lpstr>
      <vt:lpstr>LinR1</vt:lpstr>
      <vt:lpstr>R^2</vt:lpstr>
    </vt:vector>
  </TitlesOfParts>
  <Company>Jade 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2026-03-17T11:10:20Z</dcterms:created>
  <dcterms:modified xsi:type="dcterms:W3CDTF">2026-03-31T12:46:56Z</dcterms:modified>
</cp:coreProperties>
</file>